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ssteam.sharepoint.com/Shared Documents/Gold Standard Programme Management/Playbook/Cost of delayed diagnosis toolkit/"/>
    </mc:Choice>
  </mc:AlternateContent>
  <xr:revisionPtr revIDLastSave="380" documentId="8_{0A85DE56-B779-4A54-B840-4787658EB7CA}" xr6:coauthVersionLast="47" xr6:coauthVersionMax="47" xr10:uidLastSave="{8D230323-B629-414F-B65A-10FEBEE2BAFC}"/>
  <bookViews>
    <workbookView xWindow="-108" yWindow="-108" windowWidth="23256" windowHeight="12456" xr2:uid="{A8B91053-2852-4A32-9D70-78A06921E68C}"/>
  </bookViews>
  <sheets>
    <sheet name="Model" sheetId="1" r:id="rId1"/>
    <sheet name="Results" sheetId="2" state="hidden" r:id="rId2"/>
    <sheet name="Calculations" sheetId="3" r:id="rId3"/>
  </sheets>
  <definedNames>
    <definedName name="_xlnm.Print_Area" localSheetId="0">Model!$A$1:$U$27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O11" i="1" s="1"/>
  <c r="C24" i="3"/>
  <c r="C22" i="3"/>
  <c r="C20" i="3"/>
  <c r="C18" i="3"/>
  <c r="C14" i="3"/>
  <c r="C12" i="3"/>
  <c r="C10" i="3"/>
  <c r="C4" i="3"/>
  <c r="C6" i="3" s="1"/>
  <c r="I5" i="2"/>
  <c r="J5" i="2"/>
  <c r="K5" i="2"/>
  <c r="L5" i="2"/>
  <c r="I6" i="2"/>
  <c r="J6" i="2"/>
  <c r="K6" i="2"/>
  <c r="L6" i="2"/>
  <c r="I7" i="2"/>
  <c r="I8" i="2" s="1"/>
  <c r="I9" i="2" s="1"/>
  <c r="I10" i="2" s="1"/>
  <c r="I11" i="2" s="1"/>
  <c r="I12" i="2" s="1"/>
  <c r="J7" i="2"/>
  <c r="J8" i="2" s="1"/>
  <c r="J9" i="2" s="1"/>
  <c r="J10" i="2" s="1"/>
  <c r="J11" i="2" s="1"/>
  <c r="J12" i="2" s="1"/>
  <c r="K7" i="2"/>
  <c r="K8" i="2" s="1"/>
  <c r="K9" i="2" s="1"/>
  <c r="K10" i="2" s="1"/>
  <c r="K11" i="2" s="1"/>
  <c r="K12" i="2" s="1"/>
  <c r="L7" i="2"/>
  <c r="L8" i="2" s="1"/>
  <c r="L9" i="2" s="1"/>
  <c r="L10" i="2" s="1"/>
  <c r="L11" i="2" s="1"/>
  <c r="L12" i="2" s="1"/>
  <c r="J4" i="2"/>
  <c r="K4" i="2"/>
  <c r="L4" i="2"/>
  <c r="I4" i="2"/>
  <c r="J3" i="2"/>
  <c r="K3" i="2"/>
  <c r="L3" i="2"/>
  <c r="I3" i="2"/>
  <c r="E4" i="2"/>
  <c r="E5" i="2"/>
  <c r="E6" i="2"/>
  <c r="E7" i="2"/>
  <c r="E8" i="2"/>
  <c r="E9" i="2"/>
  <c r="E10" i="2"/>
  <c r="E11" i="2"/>
  <c r="E12" i="2"/>
  <c r="E3" i="2"/>
  <c r="E8" i="3" l="1"/>
  <c r="Q11" i="1" s="1"/>
  <c r="E24" i="3"/>
  <c r="F13" i="1"/>
  <c r="E22" i="3"/>
  <c r="E14" i="3"/>
  <c r="Q17" i="1" s="1"/>
  <c r="E18" i="3"/>
  <c r="E20" i="3"/>
  <c r="E10" i="3"/>
  <c r="Q13" i="1" s="1"/>
  <c r="E12" i="3"/>
  <c r="O13" i="1"/>
  <c r="O15" i="1"/>
  <c r="O17" i="1"/>
  <c r="G22" i="3" l="1"/>
  <c r="L25" i="1" s="1"/>
  <c r="Q15" i="1"/>
  <c r="G20" i="3"/>
  <c r="G25" i="1" s="1"/>
  <c r="G18" i="3"/>
  <c r="C25" i="1" s="1"/>
  <c r="G24" i="3"/>
  <c r="P25" i="1" s="1"/>
</calcChain>
</file>

<file path=xl/sharedStrings.xml><?xml version="1.0" encoding="utf-8"?>
<sst xmlns="http://schemas.openxmlformats.org/spreadsheetml/2006/main" count="62" uniqueCount="29">
  <si>
    <t>Per patient</t>
  </si>
  <si>
    <t>1 year</t>
  </si>
  <si>
    <t>1 to 2 years</t>
  </si>
  <si>
    <t>3 to 4 years</t>
  </si>
  <si>
    <t>4 to 5 years</t>
  </si>
  <si>
    <t>5 to 6 years</t>
  </si>
  <si>
    <t>6 to 7 years</t>
  </si>
  <si>
    <t>7 to 8 years</t>
  </si>
  <si>
    <t>8.5 year avg</t>
  </si>
  <si>
    <t>9 to 10 years</t>
  </si>
  <si>
    <t>10+ years</t>
  </si>
  <si>
    <t>Productivity</t>
  </si>
  <si>
    <t>Out of pocket</t>
  </si>
  <si>
    <t>Healthcare</t>
  </si>
  <si>
    <t>Total</t>
  </si>
  <si>
    <t>Cummulative</t>
  </si>
  <si>
    <t>Prevelance</t>
  </si>
  <si>
    <t>Cost of delayed diagosis for axial SpA tool</t>
  </si>
  <si>
    <t>Inputs / Calculations</t>
  </si>
  <si>
    <t>Adult population size</t>
  </si>
  <si>
    <t>AxSpA population</t>
  </si>
  <si>
    <t>Current time to diagnosis</t>
  </si>
  <si>
    <t>Target time to diagnosis</t>
  </si>
  <si>
    <t>Productivity losses</t>
  </si>
  <si>
    <t>Per person</t>
  </si>
  <si>
    <t>Outputs - cost of delayed diagnosis</t>
  </si>
  <si>
    <t>Outputs - Potential Savings</t>
  </si>
  <si>
    <t>Population</t>
  </si>
  <si>
    <t>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</si>
</sst>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"/>
    <numFmt numFmtId="165" formatCode="0.0"/>
    <numFmt numFmtId="166" formatCode="&quot;£&quot;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311D0B"/>
      <name val="Courier New"/>
      <family val="3"/>
    </font>
    <font>
      <sz val="9"/>
      <color theme="1"/>
      <name val="Courier New"/>
      <family val="3"/>
    </font>
    <font>
      <sz val="9"/>
      <name val="Courier New"/>
      <family val="3"/>
    </font>
    <font>
      <sz val="9"/>
      <color rgb="FF003300"/>
      <name val="Courier New"/>
      <family val="3"/>
    </font>
    <font>
      <sz val="9"/>
      <color rgb="FF680068"/>
      <name val="Courier New"/>
      <family val="2"/>
    </font>
    <font>
      <sz val="11"/>
      <color theme="1"/>
      <name val="Calibri"/>
      <family val="2"/>
    </font>
    <font>
      <sz val="11"/>
      <color theme="0"/>
      <name val="Verdana"/>
      <family val="2"/>
    </font>
    <font>
      <sz val="12"/>
      <color theme="0"/>
      <name val="Verdana"/>
      <family val="2"/>
    </font>
    <font>
      <sz val="10"/>
      <color theme="0"/>
      <name val="Verdana"/>
      <family val="2"/>
    </font>
    <font>
      <sz val="12"/>
      <color rgb="FF002060"/>
      <name val="Verdana"/>
      <family val="2"/>
    </font>
    <font>
      <sz val="10"/>
      <color rgb="FF002060"/>
      <name val="Verdana"/>
      <family val="2"/>
    </font>
    <font>
      <b/>
      <sz val="11"/>
      <color rgb="FF002060"/>
      <name val="Aptos Narrow"/>
      <family val="2"/>
      <scheme val="minor"/>
    </font>
    <font>
      <b/>
      <sz val="8"/>
      <color rgb="FFFC5C3D"/>
      <name val="Verdana"/>
      <family val="2"/>
    </font>
    <font>
      <b/>
      <sz val="8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D8C7A4"/>
        <bgColor indexed="64"/>
      </patternFill>
    </fill>
    <fill>
      <patternFill patternType="solid">
        <fgColor rgb="FFB2F2F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E5FF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C5C3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rgb="FF311D0B"/>
      </top>
      <bottom style="medium">
        <color rgb="FF311D0B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C5C3D"/>
      </left>
      <right style="medium">
        <color rgb="FFFC5C3D"/>
      </right>
      <top style="medium">
        <color rgb="FFFC5C3D"/>
      </top>
      <bottom style="medium">
        <color rgb="FFFC5C3D"/>
      </bottom>
      <diagonal/>
    </border>
    <border>
      <left style="medium">
        <color rgb="FFFC5C3D"/>
      </left>
      <right/>
      <top style="medium">
        <color rgb="FFFC5C3D"/>
      </top>
      <bottom/>
      <diagonal/>
    </border>
    <border>
      <left/>
      <right/>
      <top style="medium">
        <color rgb="FFFC5C3D"/>
      </top>
      <bottom/>
      <diagonal/>
    </border>
    <border>
      <left/>
      <right style="medium">
        <color rgb="FFFC5C3D"/>
      </right>
      <top style="medium">
        <color rgb="FFFC5C3D"/>
      </top>
      <bottom/>
      <diagonal/>
    </border>
    <border>
      <left style="medium">
        <color rgb="FFFC5C3D"/>
      </left>
      <right/>
      <top/>
      <bottom/>
      <diagonal/>
    </border>
    <border>
      <left/>
      <right style="medium">
        <color rgb="FFFC5C3D"/>
      </right>
      <top/>
      <bottom/>
      <diagonal/>
    </border>
    <border>
      <left style="medium">
        <color rgb="FFFC5C3D"/>
      </left>
      <right/>
      <top/>
      <bottom style="medium">
        <color rgb="FFFC5C3D"/>
      </bottom>
      <diagonal/>
    </border>
    <border>
      <left/>
      <right/>
      <top/>
      <bottom style="medium">
        <color rgb="FFFC5C3D"/>
      </bottom>
      <diagonal/>
    </border>
    <border>
      <left/>
      <right style="medium">
        <color rgb="FFFC5C3D"/>
      </right>
      <top/>
      <bottom style="medium">
        <color rgb="FFFC5C3D"/>
      </bottom>
      <diagonal/>
    </border>
    <border>
      <left/>
      <right style="medium">
        <color indexed="64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FC5C3D"/>
      </left>
      <right/>
      <top style="medium">
        <color rgb="FFFC5C3D"/>
      </top>
      <bottom style="medium">
        <color rgb="FFFC5C3D"/>
      </bottom>
      <diagonal/>
    </border>
    <border>
      <left/>
      <right/>
      <top style="medium">
        <color rgb="FFFC5C3D"/>
      </top>
      <bottom style="medium">
        <color rgb="FFFC5C3D"/>
      </bottom>
      <diagonal/>
    </border>
    <border>
      <left/>
      <right style="medium">
        <color rgb="FFFC5C3D"/>
      </right>
      <top style="medium">
        <color rgb="FFFC5C3D"/>
      </top>
      <bottom style="medium">
        <color rgb="FFFC5C3D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4" borderId="1" applyNumberFormat="0">
      <alignment horizontal="center" vertical="center"/>
    </xf>
    <xf numFmtId="0" fontId="3" fillId="2" borderId="2" applyNumberFormat="0" applyAlignment="0" applyProtection="0"/>
    <xf numFmtId="165" fontId="3" fillId="5" borderId="3" applyNumberFormat="0">
      <alignment horizontal="center" vertical="center"/>
    </xf>
    <xf numFmtId="0" fontId="4" fillId="6" borderId="2" applyNumberFormat="0" applyAlignment="0">
      <alignment horizontal="right" vertical="center"/>
    </xf>
    <xf numFmtId="164" fontId="5" fillId="7" borderId="2">
      <alignment horizontal="center" vertical="center"/>
    </xf>
    <xf numFmtId="0" fontId="3" fillId="8" borderId="4" applyNumberFormat="0" applyAlignment="0">
      <alignment vertical="center"/>
    </xf>
    <xf numFmtId="164" fontId="6" fillId="9" borderId="2" applyNumberFormat="0" applyProtection="0">
      <alignment horizontal="center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66" fontId="0" fillId="0" borderId="0" xfId="0" applyNumberFormat="1"/>
    <xf numFmtId="0" fontId="7" fillId="0" borderId="0" xfId="0" applyFont="1"/>
    <xf numFmtId="16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0" fontId="0" fillId="0" borderId="0" xfId="0" applyNumberFormat="1"/>
    <xf numFmtId="0" fontId="0" fillId="10" borderId="0" xfId="0" applyFill="1"/>
    <xf numFmtId="0" fontId="0" fillId="10" borderId="13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2" xfId="0" applyFill="1" applyBorder="1"/>
    <xf numFmtId="0" fontId="0" fillId="10" borderId="23" xfId="0" applyFill="1" applyBorder="1"/>
    <xf numFmtId="0" fontId="0" fillId="10" borderId="24" xfId="0" applyFill="1" applyBorder="1"/>
    <xf numFmtId="0" fontId="0" fillId="10" borderId="25" xfId="0" applyFill="1" applyBorder="1"/>
    <xf numFmtId="0" fontId="10" fillId="12" borderId="0" xfId="0" applyFont="1" applyFill="1" applyAlignment="1">
      <alignment horizontal="center" vertical="center" wrapText="1"/>
    </xf>
    <xf numFmtId="0" fontId="0" fillId="10" borderId="26" xfId="0" applyFill="1" applyBorder="1"/>
    <xf numFmtId="0" fontId="0" fillId="10" borderId="27" xfId="0" applyFill="1" applyBorder="1"/>
    <xf numFmtId="0" fontId="0" fillId="10" borderId="28" xfId="0" applyFill="1" applyBorder="1"/>
    <xf numFmtId="0" fontId="0" fillId="10" borderId="29" xfId="0" applyFill="1" applyBorder="1"/>
    <xf numFmtId="0" fontId="0" fillId="10" borderId="33" xfId="0" applyFill="1" applyBorder="1"/>
    <xf numFmtId="0" fontId="0" fillId="10" borderId="34" xfId="0" applyFill="1" applyBorder="1"/>
    <xf numFmtId="0" fontId="0" fillId="10" borderId="35" xfId="0" applyFill="1" applyBorder="1"/>
    <xf numFmtId="0" fontId="0" fillId="10" borderId="36" xfId="0" applyFill="1" applyBorder="1"/>
    <xf numFmtId="0" fontId="0" fillId="10" borderId="37" xfId="0" applyFill="1" applyBorder="1"/>
    <xf numFmtId="0" fontId="0" fillId="10" borderId="38" xfId="0" applyFill="1" applyBorder="1"/>
    <xf numFmtId="0" fontId="0" fillId="10" borderId="39" xfId="0" applyFill="1" applyBorder="1"/>
    <xf numFmtId="0" fontId="0" fillId="10" borderId="40" xfId="0" applyFill="1" applyBorder="1"/>
    <xf numFmtId="1" fontId="0" fillId="0" borderId="0" xfId="0" applyNumberFormat="1"/>
    <xf numFmtId="166" fontId="15" fillId="3" borderId="12" xfId="0" applyNumberFormat="1" applyFont="1" applyFill="1" applyBorder="1" applyAlignment="1">
      <alignment horizontal="center" vertical="center"/>
    </xf>
    <xf numFmtId="0" fontId="12" fillId="13" borderId="0" xfId="0" applyFont="1" applyFill="1" applyAlignment="1">
      <alignment horizontal="center"/>
    </xf>
    <xf numFmtId="0" fontId="11" fillId="13" borderId="0" xfId="0" applyFont="1" applyFill="1" applyAlignment="1">
      <alignment horizontal="center" vertical="center" wrapText="1"/>
    </xf>
    <xf numFmtId="166" fontId="14" fillId="3" borderId="30" xfId="0" applyNumberFormat="1" applyFont="1" applyFill="1" applyBorder="1" applyAlignment="1">
      <alignment horizontal="center"/>
    </xf>
    <xf numFmtId="166" fontId="14" fillId="3" borderId="31" xfId="0" applyNumberFormat="1" applyFont="1" applyFill="1" applyBorder="1" applyAlignment="1">
      <alignment horizontal="center"/>
    </xf>
    <xf numFmtId="166" fontId="14" fillId="3" borderId="32" xfId="0" applyNumberFormat="1" applyFont="1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10" fillId="11" borderId="0" xfId="0" applyFont="1" applyFill="1" applyAlignment="1">
      <alignment horizontal="center"/>
    </xf>
    <xf numFmtId="0" fontId="10" fillId="11" borderId="21" xfId="0" applyFont="1" applyFill="1" applyBorder="1" applyAlignment="1">
      <alignment horizontal="center"/>
    </xf>
    <xf numFmtId="1" fontId="13" fillId="3" borderId="6" xfId="1" applyNumberFormat="1" applyFont="1" applyFill="1" applyBorder="1" applyAlignment="1">
      <alignment horizontal="center"/>
    </xf>
    <xf numFmtId="1" fontId="13" fillId="3" borderId="7" xfId="1" applyNumberFormat="1" applyFont="1" applyFill="1" applyBorder="1" applyAlignment="1">
      <alignment horizontal="center"/>
    </xf>
    <xf numFmtId="1" fontId="13" fillId="3" borderId="8" xfId="1" applyNumberFormat="1" applyFont="1" applyFill="1" applyBorder="1" applyAlignment="1">
      <alignment horizontal="center"/>
    </xf>
    <xf numFmtId="1" fontId="13" fillId="3" borderId="6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8" fillId="11" borderId="0" xfId="0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</cellXfs>
  <cellStyles count="11">
    <cellStyle name="~CalculatedParameter" xfId="5" xr:uid="{94CFEE0E-D9D8-4F66-88E3-E2559616ECA7}"/>
    <cellStyle name="~DevelopersAssumption" xfId="7" xr:uid="{0712DCE3-43D6-4D21-88F3-CB29BB8DD19C}"/>
    <cellStyle name="~ExtractedData" xfId="4" xr:uid="{C37FA47B-278A-4F43-99B0-D17F7A1DCB57}"/>
    <cellStyle name="~Header1" xfId="2" xr:uid="{36EF511B-97BB-4FCE-B0B7-D60F279E2E87}"/>
    <cellStyle name="~MarkovHelper" xfId="6" xr:uid="{E13E0330-A264-4CC5-8BDB-F1C875FD7481}"/>
    <cellStyle name="~ProbParams" xfId="8" xr:uid="{A6D05DB5-4E27-4885-8B69-9E10A66EFD96}"/>
    <cellStyle name="~zNote" xfId="3" xr:uid="{708A4832-38E7-42A3-9FE4-03FAF188F858}"/>
    <cellStyle name="Comma" xfId="1" builtinId="3"/>
    <cellStyle name="Comma 2" xfId="9" xr:uid="{4963DC34-64A8-4D15-B280-302F3D7D332D}"/>
    <cellStyle name="Currency 2" xfId="10" xr:uid="{851D1484-1537-4EF1-92C0-4F617BAD41FE}"/>
    <cellStyle name="Normal" xfId="0" builtinId="0"/>
  </cellStyles>
  <dxfs count="0"/>
  <tableStyles count="0" defaultTableStyle="TableStyleMedium2" defaultPivotStyle="PivotStyleLight16"/>
  <colors>
    <mruColors>
      <color rgb="FFFC5C3D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0CBC-967A-4531-9B10-EA650D66C899}">
  <sheetPr>
    <pageSetUpPr fitToPage="1"/>
  </sheetPr>
  <dimension ref="B2:T26"/>
  <sheetViews>
    <sheetView tabSelected="1" zoomScale="80" zoomScaleNormal="80" workbookViewId="0">
      <selection activeCell="C15" sqref="C15:E15"/>
    </sheetView>
  </sheetViews>
  <sheetFormatPr defaultColWidth="8.77734375" defaultRowHeight="14.4" x14ac:dyDescent="0.3"/>
  <cols>
    <col min="1" max="1" width="1.6640625" style="6" customWidth="1"/>
    <col min="2" max="2" width="1.88671875" style="6" customWidth="1"/>
    <col min="3" max="8" width="8.77734375" style="6"/>
    <col min="9" max="10" width="2.21875" style="6" customWidth="1"/>
    <col min="11" max="11" width="1.77734375" style="6" customWidth="1"/>
    <col min="12" max="13" width="8.77734375" style="6"/>
    <col min="14" max="14" width="2.77734375" style="6" customWidth="1"/>
    <col min="15" max="15" width="11.33203125" style="6" bestFit="1" customWidth="1"/>
    <col min="16" max="16" width="2.5546875" style="6" customWidth="1"/>
    <col min="17" max="17" width="15.109375" style="6" bestFit="1" customWidth="1"/>
    <col min="18" max="18" width="2" style="6" customWidth="1"/>
    <col min="19" max="19" width="8.77734375" style="6"/>
    <col min="20" max="20" width="2.109375" style="6" customWidth="1"/>
    <col min="21" max="16384" width="8.77734375" style="6"/>
  </cols>
  <sheetData>
    <row r="2" spans="2:18" x14ac:dyDescent="0.3">
      <c r="F2" s="52" t="s">
        <v>17</v>
      </c>
      <c r="G2" s="52"/>
      <c r="H2" s="52"/>
      <c r="I2" s="52"/>
      <c r="J2" s="52"/>
      <c r="K2" s="52"/>
      <c r="L2" s="52"/>
    </row>
    <row r="3" spans="2:18" x14ac:dyDescent="0.3">
      <c r="F3" s="52"/>
      <c r="G3" s="52"/>
      <c r="H3" s="52"/>
      <c r="I3" s="52"/>
      <c r="J3" s="52"/>
      <c r="K3" s="52"/>
      <c r="L3" s="52"/>
    </row>
    <row r="4" spans="2:18" ht="3.45" customHeight="1" x14ac:dyDescent="0.3"/>
    <row r="5" spans="2:18" x14ac:dyDescent="0.3">
      <c r="C5" s="53" t="s">
        <v>18</v>
      </c>
      <c r="D5" s="53"/>
      <c r="E5" s="53"/>
      <c r="M5" s="54" t="s">
        <v>25</v>
      </c>
      <c r="N5" s="54"/>
      <c r="O5" s="54"/>
      <c r="P5" s="54"/>
      <c r="Q5" s="54"/>
    </row>
    <row r="6" spans="2:18" x14ac:dyDescent="0.3">
      <c r="C6" s="53"/>
      <c r="D6" s="53"/>
      <c r="E6" s="53"/>
      <c r="M6" s="54"/>
      <c r="N6" s="54"/>
      <c r="O6" s="54"/>
      <c r="P6" s="54"/>
      <c r="Q6" s="54"/>
    </row>
    <row r="7" spans="2:18" ht="5.55" customHeight="1" thickBot="1" x14ac:dyDescent="0.35"/>
    <row r="8" spans="2:18" ht="5.55" customHeight="1" x14ac:dyDescent="0.3">
      <c r="K8" s="15"/>
      <c r="L8" s="16"/>
      <c r="M8" s="16"/>
      <c r="N8" s="16"/>
      <c r="O8" s="16"/>
      <c r="P8" s="16"/>
      <c r="Q8" s="16"/>
      <c r="R8" s="17"/>
    </row>
    <row r="9" spans="2:18" ht="15" thickBot="1" x14ac:dyDescent="0.35">
      <c r="K9" s="18"/>
      <c r="O9" s="19" t="s">
        <v>24</v>
      </c>
      <c r="Q9" s="19" t="s">
        <v>14</v>
      </c>
      <c r="R9" s="20"/>
    </row>
    <row r="10" spans="2:18" ht="15" thickBot="1" x14ac:dyDescent="0.35">
      <c r="B10" s="7"/>
      <c r="C10" s="8"/>
      <c r="D10" s="8"/>
      <c r="E10" s="8"/>
      <c r="F10" s="8"/>
      <c r="G10" s="8"/>
      <c r="H10" s="8"/>
      <c r="I10" s="9"/>
      <c r="K10" s="18"/>
      <c r="R10" s="20"/>
    </row>
    <row r="11" spans="2:18" ht="15" thickBot="1" x14ac:dyDescent="0.35">
      <c r="B11" s="10"/>
      <c r="C11" s="40" t="s">
        <v>19</v>
      </c>
      <c r="D11" s="40"/>
      <c r="E11" s="41"/>
      <c r="F11" s="42">
        <v>278800</v>
      </c>
      <c r="G11" s="43"/>
      <c r="H11" s="44"/>
      <c r="I11" s="11"/>
      <c r="K11" s="18"/>
      <c r="L11" s="39" t="s">
        <v>23</v>
      </c>
      <c r="M11" s="39"/>
      <c r="O11" s="33">
        <f>Calculations!C8</f>
        <v>92888.571243057682</v>
      </c>
      <c r="Q11" s="33">
        <f>Calculations!E8</f>
        <v>77692000.987693444</v>
      </c>
      <c r="R11" s="20"/>
    </row>
    <row r="12" spans="2:18" ht="15" thickBot="1" x14ac:dyDescent="0.35">
      <c r="B12" s="10"/>
      <c r="I12" s="11"/>
      <c r="K12" s="18"/>
      <c r="R12" s="20"/>
    </row>
    <row r="13" spans="2:18" ht="15" thickBot="1" x14ac:dyDescent="0.35">
      <c r="B13" s="10"/>
      <c r="C13" s="40" t="s">
        <v>20</v>
      </c>
      <c r="D13" s="40"/>
      <c r="E13" s="41"/>
      <c r="F13" s="45">
        <f>Calculations!C6</f>
        <v>836.4</v>
      </c>
      <c r="G13" s="46"/>
      <c r="H13" s="47"/>
      <c r="I13" s="11"/>
      <c r="K13" s="18"/>
      <c r="L13" s="39" t="s">
        <v>12</v>
      </c>
      <c r="M13" s="39"/>
      <c r="O13" s="33">
        <f>Calculations!C10</f>
        <v>45291.315019062495</v>
      </c>
      <c r="Q13" s="33">
        <f>Calculations!E10</f>
        <v>37881655.881943867</v>
      </c>
      <c r="R13" s="20"/>
    </row>
    <row r="14" spans="2:18" ht="15" thickBot="1" x14ac:dyDescent="0.35">
      <c r="B14" s="10"/>
      <c r="I14" s="11"/>
      <c r="K14" s="18"/>
      <c r="R14" s="20"/>
    </row>
    <row r="15" spans="2:18" ht="15" thickBot="1" x14ac:dyDescent="0.35">
      <c r="B15" s="10"/>
      <c r="C15" s="40" t="s">
        <v>21</v>
      </c>
      <c r="D15" s="40"/>
      <c r="E15" s="41"/>
      <c r="F15" s="48" t="s">
        <v>6</v>
      </c>
      <c r="G15" s="46"/>
      <c r="H15" s="47"/>
      <c r="I15" s="11"/>
      <c r="K15" s="18"/>
      <c r="L15" s="39" t="s">
        <v>13</v>
      </c>
      <c r="M15" s="39"/>
      <c r="O15" s="33">
        <f>Calculations!C12</f>
        <v>5057.1136308556224</v>
      </c>
      <c r="Q15" s="33">
        <f>Calculations!E12</f>
        <v>4229769.8408476422</v>
      </c>
      <c r="R15" s="20"/>
    </row>
    <row r="16" spans="2:18" ht="15" thickBot="1" x14ac:dyDescent="0.35">
      <c r="B16" s="10"/>
      <c r="I16" s="11"/>
      <c r="K16" s="18"/>
      <c r="R16" s="20"/>
    </row>
    <row r="17" spans="2:20" ht="15" thickBot="1" x14ac:dyDescent="0.35">
      <c r="B17" s="10"/>
      <c r="C17" s="40" t="s">
        <v>22</v>
      </c>
      <c r="D17" s="40"/>
      <c r="E17" s="40"/>
      <c r="F17" s="49" t="s">
        <v>4</v>
      </c>
      <c r="G17" s="50"/>
      <c r="H17" s="51"/>
      <c r="I17" s="11"/>
      <c r="K17" s="18"/>
      <c r="L17" s="39" t="s">
        <v>14</v>
      </c>
      <c r="M17" s="39"/>
      <c r="O17" s="33">
        <f>Calculations!C14</f>
        <v>143236.99989297579</v>
      </c>
      <c r="Q17" s="33">
        <f>Calculations!E14</f>
        <v>119803426.71048494</v>
      </c>
      <c r="R17" s="20"/>
    </row>
    <row r="18" spans="2:20" ht="15" thickBot="1" x14ac:dyDescent="0.35">
      <c r="B18" s="12"/>
      <c r="C18" s="13"/>
      <c r="D18" s="13"/>
      <c r="E18" s="13"/>
      <c r="F18" s="13"/>
      <c r="G18" s="13"/>
      <c r="H18" s="13"/>
      <c r="I18" s="14"/>
      <c r="K18" s="21"/>
      <c r="L18" s="22"/>
      <c r="M18" s="22"/>
      <c r="N18" s="22"/>
      <c r="O18" s="22"/>
      <c r="P18" s="22"/>
      <c r="Q18" s="22"/>
      <c r="R18" s="23"/>
    </row>
    <row r="19" spans="2:20" ht="15" thickBot="1" x14ac:dyDescent="0.35"/>
    <row r="20" spans="2:20" ht="8.5500000000000007" customHeight="1" x14ac:dyDescent="0.3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</row>
    <row r="21" spans="2:20" ht="14.55" customHeight="1" x14ac:dyDescent="0.3">
      <c r="B21" s="27"/>
      <c r="G21" s="35" t="s">
        <v>26</v>
      </c>
      <c r="H21" s="35"/>
      <c r="I21" s="35"/>
      <c r="J21" s="35"/>
      <c r="K21" s="35"/>
      <c r="L21" s="35"/>
      <c r="M21" s="35"/>
      <c r="N21" s="35"/>
      <c r="T21" s="28"/>
    </row>
    <row r="22" spans="2:20" ht="14.55" customHeight="1" x14ac:dyDescent="0.3">
      <c r="B22" s="27"/>
      <c r="G22" s="35"/>
      <c r="H22" s="35"/>
      <c r="I22" s="35"/>
      <c r="J22" s="35"/>
      <c r="K22" s="35"/>
      <c r="L22" s="35"/>
      <c r="M22" s="35"/>
      <c r="N22" s="35"/>
      <c r="T22" s="28"/>
    </row>
    <row r="23" spans="2:20" x14ac:dyDescent="0.3">
      <c r="B23" s="27"/>
      <c r="T23" s="28"/>
    </row>
    <row r="24" spans="2:20" ht="15" thickBot="1" x14ac:dyDescent="0.35">
      <c r="B24" s="27"/>
      <c r="C24" s="34" t="s">
        <v>11</v>
      </c>
      <c r="D24" s="34"/>
      <c r="E24" s="34"/>
      <c r="G24" s="34" t="s">
        <v>12</v>
      </c>
      <c r="H24" s="34"/>
      <c r="I24" s="34"/>
      <c r="J24" s="34"/>
      <c r="L24" s="34" t="s">
        <v>13</v>
      </c>
      <c r="M24" s="34"/>
      <c r="N24" s="34"/>
      <c r="P24" s="34" t="s">
        <v>14</v>
      </c>
      <c r="Q24" s="34"/>
      <c r="R24" s="34"/>
      <c r="S24" s="34"/>
      <c r="T24" s="28"/>
    </row>
    <row r="25" spans="2:20" ht="15" thickBot="1" x14ac:dyDescent="0.35">
      <c r="B25" s="27"/>
      <c r="C25" s="36">
        <f>Calculations!G18</f>
        <v>23969368.103632025</v>
      </c>
      <c r="D25" s="37"/>
      <c r="E25" s="38"/>
      <c r="G25" s="36">
        <f>Calculations!G20</f>
        <v>11928998.621517912</v>
      </c>
      <c r="H25" s="37"/>
      <c r="I25" s="37"/>
      <c r="J25" s="38"/>
      <c r="L25" s="36">
        <f>Calculations!G22</f>
        <v>1429289.6152472906</v>
      </c>
      <c r="M25" s="37"/>
      <c r="N25" s="38"/>
      <c r="P25" s="36">
        <f>Calculations!G24</f>
        <v>37327656.340397224</v>
      </c>
      <c r="Q25" s="37"/>
      <c r="R25" s="37"/>
      <c r="S25" s="38"/>
      <c r="T25" s="28"/>
    </row>
    <row r="26" spans="2:20" ht="15" thickBot="1" x14ac:dyDescent="0.35"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1"/>
    </row>
  </sheetData>
  <mergeCells count="24">
    <mergeCell ref="F2:L3"/>
    <mergeCell ref="C5:E6"/>
    <mergeCell ref="M5:Q6"/>
    <mergeCell ref="L11:M11"/>
    <mergeCell ref="L13:M13"/>
    <mergeCell ref="L15:M15"/>
    <mergeCell ref="L17:M17"/>
    <mergeCell ref="C11:E11"/>
    <mergeCell ref="C13:E13"/>
    <mergeCell ref="C15:E15"/>
    <mergeCell ref="F11:H11"/>
    <mergeCell ref="F13:H13"/>
    <mergeCell ref="F15:H15"/>
    <mergeCell ref="C17:E17"/>
    <mergeCell ref="F17:H17"/>
    <mergeCell ref="L24:N24"/>
    <mergeCell ref="G21:N22"/>
    <mergeCell ref="P24:S24"/>
    <mergeCell ref="C25:E25"/>
    <mergeCell ref="P25:S25"/>
    <mergeCell ref="L25:N25"/>
    <mergeCell ref="G25:J25"/>
    <mergeCell ref="C24:E24"/>
    <mergeCell ref="G24:J24"/>
  </mergeCells>
  <pageMargins left="0.7" right="0.7" top="0.75" bottom="0.75" header="0.3" footer="0.3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818D64-A32A-4764-BF89-FA76191804FB}">
          <x14:formula1>
            <xm:f>Results!$H$3:$H$12</xm:f>
          </x14:formula1>
          <xm:sqref>F15:H15 F17:H17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B244-0516-4E53-98DE-70B79FD95245}">
  <dimension ref="A1:L12"/>
  <sheetViews>
    <sheetView workbookViewId="0">
      <selection activeCell="G11" sqref="G11"/>
    </sheetView>
  </sheetViews>
  <sheetFormatPr defaultRowHeight="14.4" x14ac:dyDescent="0.3"/>
  <cols>
    <col min="1" max="1" width="10.88671875" bestFit="1" customWidth="1"/>
    <col min="2" max="2" width="10.33203125" bestFit="1" customWidth="1"/>
    <col min="3" max="3" width="11.6640625" bestFit="1" customWidth="1"/>
    <col min="4" max="4" width="9.77734375" bestFit="1" customWidth="1"/>
    <col min="5" max="5" width="9.88671875" bestFit="1" customWidth="1"/>
    <col min="8" max="8" width="11.5546875" bestFit="1" customWidth="1"/>
    <col min="9" max="9" width="10.88671875" bestFit="1" customWidth="1"/>
    <col min="10" max="10" width="11.6640625" bestFit="1" customWidth="1"/>
    <col min="11" max="11" width="9.77734375" bestFit="1" customWidth="1"/>
    <col min="12" max="12" width="10.88671875" bestFit="1" customWidth="1"/>
  </cols>
  <sheetData>
    <row r="1" spans="1:12" x14ac:dyDescent="0.3">
      <c r="A1" s="2" t="s">
        <v>0</v>
      </c>
      <c r="B1" s="2"/>
      <c r="C1" s="2"/>
      <c r="D1" s="2"/>
      <c r="E1" s="2"/>
      <c r="F1" s="2"/>
      <c r="G1" s="2"/>
      <c r="H1" s="2" t="s">
        <v>15</v>
      </c>
      <c r="I1" s="2"/>
      <c r="J1" s="2"/>
      <c r="K1" s="2"/>
      <c r="L1" s="2"/>
    </row>
    <row r="2" spans="1:12" x14ac:dyDescent="0.3">
      <c r="A2" s="4"/>
      <c r="B2" s="4" t="s">
        <v>11</v>
      </c>
      <c r="C2" s="4" t="s">
        <v>12</v>
      </c>
      <c r="D2" s="4" t="s">
        <v>13</v>
      </c>
      <c r="E2" s="4" t="s">
        <v>14</v>
      </c>
      <c r="F2" s="2"/>
      <c r="G2" s="2"/>
      <c r="H2" s="4"/>
      <c r="I2" s="4" t="s">
        <v>11</v>
      </c>
      <c r="J2" s="4" t="s">
        <v>12</v>
      </c>
      <c r="K2" s="4" t="s">
        <v>13</v>
      </c>
      <c r="L2" s="4" t="s">
        <v>14</v>
      </c>
    </row>
    <row r="3" spans="1:12" x14ac:dyDescent="0.3">
      <c r="A3" s="4" t="s">
        <v>1</v>
      </c>
      <c r="B3" s="3">
        <v>17262.303802720435</v>
      </c>
      <c r="C3" s="3">
        <v>7942.4758175223487</v>
      </c>
      <c r="D3" s="3">
        <v>628.64766523436799</v>
      </c>
      <c r="E3" s="3">
        <f>SUM(B3:D3)</f>
        <v>25833.427285477152</v>
      </c>
      <c r="F3" s="2"/>
      <c r="G3" s="2"/>
      <c r="H3" s="4" t="s">
        <v>1</v>
      </c>
      <c r="I3" s="3">
        <f>B3</f>
        <v>17262.303802720435</v>
      </c>
      <c r="J3" s="3">
        <f t="shared" ref="J3:L3" si="0">C3</f>
        <v>7942.4758175223487</v>
      </c>
      <c r="K3" s="3">
        <f t="shared" si="0"/>
        <v>628.64766523436799</v>
      </c>
      <c r="L3" s="3">
        <f t="shared" si="0"/>
        <v>25833.427285477152</v>
      </c>
    </row>
    <row r="4" spans="1:12" x14ac:dyDescent="0.3">
      <c r="A4" s="4" t="s">
        <v>2</v>
      </c>
      <c r="B4" s="3">
        <v>16211.173407353621</v>
      </c>
      <c r="C4" s="3">
        <v>7824.6923439535149</v>
      </c>
      <c r="D4" s="3">
        <v>926.33939643590315</v>
      </c>
      <c r="E4" s="3">
        <f t="shared" ref="E4:E12" si="1">SUM(B4:D4)</f>
        <v>24962.20514774304</v>
      </c>
      <c r="F4" s="2"/>
      <c r="G4" s="2"/>
      <c r="H4" s="4" t="s">
        <v>2</v>
      </c>
      <c r="I4" s="3">
        <f>I3+B4</f>
        <v>33473.477210074052</v>
      </c>
      <c r="J4" s="3">
        <f t="shared" ref="J4:L4" si="2">J3+C4</f>
        <v>15767.168161475864</v>
      </c>
      <c r="K4" s="3">
        <f t="shared" si="2"/>
        <v>1554.987061670271</v>
      </c>
      <c r="L4" s="3">
        <f t="shared" si="2"/>
        <v>50795.632433220191</v>
      </c>
    </row>
    <row r="5" spans="1:12" x14ac:dyDescent="0.3">
      <c r="A5" s="4" t="s">
        <v>3</v>
      </c>
      <c r="B5" s="3">
        <v>15649.971590719966</v>
      </c>
      <c r="C5" s="3">
        <v>7759.785350603508</v>
      </c>
      <c r="D5" s="3">
        <v>906.46030929096639</v>
      </c>
      <c r="E5" s="3">
        <f t="shared" si="1"/>
        <v>24316.217250614442</v>
      </c>
      <c r="F5" s="2"/>
      <c r="G5" s="2"/>
      <c r="H5" s="4" t="s">
        <v>3</v>
      </c>
      <c r="I5" s="3">
        <f t="shared" ref="I5:I12" si="3">I4+B5</f>
        <v>49123.448800794016</v>
      </c>
      <c r="J5" s="3">
        <f t="shared" ref="J5:J12" si="4">J4+C5</f>
        <v>23526.953512079373</v>
      </c>
      <c r="K5" s="3">
        <f t="shared" ref="K5:K12" si="5">K4+D5</f>
        <v>2461.4473709612375</v>
      </c>
      <c r="L5" s="3">
        <f t="shared" ref="L5:L12" si="6">L4+E5</f>
        <v>75111.849683834633</v>
      </c>
    </row>
    <row r="6" spans="1:12" x14ac:dyDescent="0.3">
      <c r="A6" s="4" t="s">
        <v>4</v>
      </c>
      <c r="B6" s="3">
        <v>15107.341352316236</v>
      </c>
      <c r="C6" s="3">
        <v>7502.048473126214</v>
      </c>
      <c r="D6" s="3">
        <v>886.80732248729385</v>
      </c>
      <c r="E6" s="3">
        <f t="shared" si="1"/>
        <v>23496.197147929743</v>
      </c>
      <c r="F6" s="2"/>
      <c r="G6" s="2"/>
      <c r="H6" s="4" t="s">
        <v>4</v>
      </c>
      <c r="I6" s="3">
        <f t="shared" si="3"/>
        <v>64230.790153110254</v>
      </c>
      <c r="J6" s="3">
        <f t="shared" si="4"/>
        <v>31029.001985205588</v>
      </c>
      <c r="K6" s="3">
        <f t="shared" si="5"/>
        <v>3348.2546934485313</v>
      </c>
      <c r="L6" s="3">
        <f t="shared" si="6"/>
        <v>98608.046831764368</v>
      </c>
    </row>
    <row r="7" spans="1:12" x14ac:dyDescent="0.3">
      <c r="A7" s="4" t="s">
        <v>5</v>
      </c>
      <c r="B7" s="3">
        <v>14582.391865136045</v>
      </c>
      <c r="C7" s="3">
        <v>7252.3997748578049</v>
      </c>
      <c r="D7" s="3">
        <v>867.36931059341248</v>
      </c>
      <c r="E7" s="3">
        <f t="shared" si="1"/>
        <v>22702.160950587262</v>
      </c>
      <c r="F7" s="2"/>
      <c r="G7" s="2"/>
      <c r="H7" s="4" t="s">
        <v>5</v>
      </c>
      <c r="I7" s="3">
        <f t="shared" si="3"/>
        <v>78813.182018246298</v>
      </c>
      <c r="J7" s="3">
        <f t="shared" si="4"/>
        <v>38281.401760063396</v>
      </c>
      <c r="K7" s="3">
        <f t="shared" si="5"/>
        <v>4215.6240040419434</v>
      </c>
      <c r="L7" s="3">
        <f t="shared" si="6"/>
        <v>121310.20778235163</v>
      </c>
    </row>
    <row r="8" spans="1:12" x14ac:dyDescent="0.3">
      <c r="A8" s="4" t="s">
        <v>6</v>
      </c>
      <c r="B8" s="3">
        <v>14075.38922481139</v>
      </c>
      <c r="C8" s="3">
        <v>7009.9132589991004</v>
      </c>
      <c r="D8" s="3">
        <v>841.48962681367891</v>
      </c>
      <c r="E8" s="3">
        <f t="shared" si="1"/>
        <v>21926.79211062417</v>
      </c>
      <c r="F8" s="2"/>
      <c r="G8" s="2"/>
      <c r="H8" s="4" t="s">
        <v>6</v>
      </c>
      <c r="I8" s="3">
        <f t="shared" si="3"/>
        <v>92888.571243057682</v>
      </c>
      <c r="J8" s="3">
        <f t="shared" si="4"/>
        <v>45291.315019062495</v>
      </c>
      <c r="K8" s="3">
        <f t="shared" si="5"/>
        <v>5057.1136308556224</v>
      </c>
      <c r="L8" s="3">
        <f t="shared" si="6"/>
        <v>143236.99989297579</v>
      </c>
    </row>
    <row r="9" spans="1:12" x14ac:dyDescent="0.3">
      <c r="A9" s="4" t="s">
        <v>7</v>
      </c>
      <c r="B9" s="3">
        <v>13585.997893892143</v>
      </c>
      <c r="C9" s="3">
        <v>6768.1202646536822</v>
      </c>
      <c r="D9" s="3">
        <v>812.47865502238267</v>
      </c>
      <c r="E9" s="3">
        <f t="shared" si="1"/>
        <v>21166.596813568209</v>
      </c>
      <c r="F9" s="2"/>
      <c r="G9" s="2"/>
      <c r="H9" s="4" t="s">
        <v>7</v>
      </c>
      <c r="I9" s="3">
        <f t="shared" si="3"/>
        <v>106474.56913694982</v>
      </c>
      <c r="J9" s="3">
        <f t="shared" si="4"/>
        <v>52059.435283716179</v>
      </c>
      <c r="K9" s="3">
        <f t="shared" si="5"/>
        <v>5869.592285878005</v>
      </c>
      <c r="L9" s="3">
        <f t="shared" si="6"/>
        <v>164403.59670654399</v>
      </c>
    </row>
    <row r="10" spans="1:12" x14ac:dyDescent="0.3">
      <c r="A10" s="4" t="s">
        <v>8</v>
      </c>
      <c r="B10" s="3">
        <v>13112.567647085627</v>
      </c>
      <c r="C10" s="3">
        <v>6532.7632080244084</v>
      </c>
      <c r="D10" s="3">
        <v>784.41180889724171</v>
      </c>
      <c r="E10" s="3">
        <f t="shared" si="1"/>
        <v>20429.742664007277</v>
      </c>
      <c r="F10" s="2"/>
      <c r="G10" s="2"/>
      <c r="H10" s="4" t="s">
        <v>8</v>
      </c>
      <c r="I10" s="3">
        <f t="shared" si="3"/>
        <v>119587.13678403545</v>
      </c>
      <c r="J10" s="3">
        <f t="shared" si="4"/>
        <v>58592.198491740586</v>
      </c>
      <c r="K10" s="3">
        <f t="shared" si="5"/>
        <v>6654.0040947752468</v>
      </c>
      <c r="L10" s="3">
        <f t="shared" si="6"/>
        <v>184833.33937055126</v>
      </c>
    </row>
    <row r="11" spans="1:12" x14ac:dyDescent="0.3">
      <c r="A11" s="4" t="s">
        <v>9</v>
      </c>
      <c r="B11" s="3">
        <v>12654.476887165274</v>
      </c>
      <c r="C11" s="3">
        <v>6305.0195974756916</v>
      </c>
      <c r="D11" s="3">
        <v>757.25236303232714</v>
      </c>
      <c r="E11" s="3">
        <f t="shared" si="1"/>
        <v>19716.748847673291</v>
      </c>
      <c r="F11" s="2"/>
      <c r="G11" s="2"/>
      <c r="H11" s="4" t="s">
        <v>9</v>
      </c>
      <c r="I11" s="3">
        <f t="shared" si="3"/>
        <v>132241.61367120073</v>
      </c>
      <c r="J11" s="3">
        <f t="shared" si="4"/>
        <v>64897.21808921628</v>
      </c>
      <c r="K11" s="3">
        <f t="shared" si="5"/>
        <v>7411.2564578075744</v>
      </c>
      <c r="L11" s="3">
        <f t="shared" si="6"/>
        <v>204550.08821822456</v>
      </c>
    </row>
    <row r="12" spans="1:12" x14ac:dyDescent="0.3">
      <c r="A12" s="4" t="s">
        <v>10</v>
      </c>
      <c r="B12" s="3">
        <v>12211.183258494857</v>
      </c>
      <c r="C12" s="3">
        <v>6084.6521947271603</v>
      </c>
      <c r="D12" s="3">
        <v>730.96829092395251</v>
      </c>
      <c r="E12" s="3">
        <f t="shared" si="1"/>
        <v>19026.803744145971</v>
      </c>
      <c r="F12" s="2"/>
      <c r="G12" s="2"/>
      <c r="H12" s="4" t="s">
        <v>10</v>
      </c>
      <c r="I12" s="3">
        <f t="shared" si="3"/>
        <v>144452.79692969559</v>
      </c>
      <c r="J12" s="3">
        <f t="shared" si="4"/>
        <v>70981.870283943441</v>
      </c>
      <c r="K12" s="3">
        <f t="shared" si="5"/>
        <v>8142.2247487315271</v>
      </c>
      <c r="L12" s="3">
        <f t="shared" si="6"/>
        <v>223576.89196237052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A958-627B-4332-AFD2-1DB77F8286FA}">
  <dimension ref="B2:G24"/>
  <sheetViews>
    <sheetView workbookViewId="0">
      <selection activeCell="C8" sqref="C8"/>
    </sheetView>
  </sheetViews>
  <sheetFormatPr defaultRowHeight="14.4" x14ac:dyDescent="0.3"/>
  <cols>
    <col min="2" max="2" width="14.77734375" bestFit="1" customWidth="1"/>
    <col min="3" max="3" width="10.88671875" bestFit="1" customWidth="1"/>
    <col min="5" max="5" width="14.5546875" bestFit="1" customWidth="1"/>
    <col min="7" max="7" width="14.5546875" bestFit="1" customWidth="1"/>
  </cols>
  <sheetData>
    <row r="2" spans="2:5" x14ac:dyDescent="0.3">
      <c r="B2" t="s">
        <v>16</v>
      </c>
      <c r="C2" s="5">
        <v>3.0000000000000001E-3</v>
      </c>
    </row>
    <row r="4" spans="2:5" x14ac:dyDescent="0.3">
      <c r="B4" t="s">
        <v>27</v>
      </c>
      <c r="C4">
        <f>Model!F11</f>
        <v>278800</v>
      </c>
    </row>
    <row r="6" spans="2:5" x14ac:dyDescent="0.3">
      <c r="B6" t="s">
        <v>20</v>
      </c>
      <c r="C6" s="32">
        <f>C4*C2</f>
        <v>836.4</v>
      </c>
    </row>
    <row r="8" spans="2:5" x14ac:dyDescent="0.3">
      <c r="B8" t="s">
        <v>23</v>
      </c>
      <c r="C8" s="1">
        <f>VLOOKUP(Model!F15,Results!H2:L12,2,FALSE)</f>
        <v>92888.571243057682</v>
      </c>
      <c r="E8" s="1">
        <f>C8*C6</f>
        <v>77692000.987693444</v>
      </c>
    </row>
    <row r="10" spans="2:5" x14ac:dyDescent="0.3">
      <c r="B10" t="s">
        <v>12</v>
      </c>
      <c r="C10" s="1">
        <f>VLOOKUP(Model!F15,Results!H2:L12,3,FALSE)</f>
        <v>45291.315019062495</v>
      </c>
      <c r="E10" s="1">
        <f>C10*C6</f>
        <v>37881655.881943867</v>
      </c>
    </row>
    <row r="12" spans="2:5" x14ac:dyDescent="0.3">
      <c r="B12" t="s">
        <v>13</v>
      </c>
      <c r="C12" s="1">
        <f>VLOOKUP(Model!F15,Results!H2:L12,4,FALSE)</f>
        <v>5057.1136308556224</v>
      </c>
      <c r="E12" s="1">
        <f>C12*C6</f>
        <v>4229769.8408476422</v>
      </c>
    </row>
    <row r="14" spans="2:5" x14ac:dyDescent="0.3">
      <c r="B14" t="s">
        <v>14</v>
      </c>
      <c r="C14" s="1">
        <f>VLOOKUP(Model!F15,Results!H2:L12,5,FALSE)</f>
        <v>143236.99989297579</v>
      </c>
      <c r="E14" s="1">
        <f>C14*C6</f>
        <v>119803426.71048494</v>
      </c>
    </row>
    <row r="16" spans="2:5" x14ac:dyDescent="0.3">
      <c r="B16" t="s">
        <v>28</v>
      </c>
    </row>
    <row r="18" spans="2:7" x14ac:dyDescent="0.3">
      <c r="B18" t="s">
        <v>23</v>
      </c>
      <c r="C18" s="1">
        <f>VLOOKUP(Model!F17,Results!H2:L12,2,FALSE)</f>
        <v>64230.790153110254</v>
      </c>
      <c r="E18" s="1">
        <f>C18*C6</f>
        <v>53722632.884061418</v>
      </c>
      <c r="G18" s="1">
        <f>E8-E18</f>
        <v>23969368.103632025</v>
      </c>
    </row>
    <row r="20" spans="2:7" x14ac:dyDescent="0.3">
      <c r="B20" t="s">
        <v>12</v>
      </c>
      <c r="C20" s="1">
        <f>VLOOKUP(Model!F17,Results!H2:L12,3,FALSE)</f>
        <v>31029.001985205588</v>
      </c>
      <c r="E20" s="1">
        <f>C20*C6</f>
        <v>25952657.260425955</v>
      </c>
      <c r="G20" s="1">
        <f>E10-E20</f>
        <v>11928998.621517912</v>
      </c>
    </row>
    <row r="22" spans="2:7" x14ac:dyDescent="0.3">
      <c r="B22" t="s">
        <v>13</v>
      </c>
      <c r="C22" s="1">
        <f>VLOOKUP(Model!F17,Results!H2:L12,4,FALSE)</f>
        <v>3348.2546934485313</v>
      </c>
      <c r="E22" s="1">
        <f>C22*C6</f>
        <v>2800480.2256003516</v>
      </c>
      <c r="G22" s="1">
        <f>E12-E22</f>
        <v>1429289.6152472906</v>
      </c>
    </row>
    <row r="24" spans="2:7" x14ac:dyDescent="0.3">
      <c r="B24" t="s">
        <v>14</v>
      </c>
      <c r="C24" s="1">
        <f>VLOOKUP(Model!F17,Results!H2:L12,5,FALSE)</f>
        <v>98608.046831764368</v>
      </c>
      <c r="E24" s="1">
        <f>C24*C6</f>
        <v>82475770.370087713</v>
      </c>
      <c r="G24" s="1">
        <f>E14-E24</f>
        <v>37327656.340397224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85347C8BDAAA4D9A24E43D5D16D7E7" ma:contentTypeVersion="21" ma:contentTypeDescription="Create a new document." ma:contentTypeScope="" ma:versionID="35835da273cd44256869725112b0c9b1">
  <xsd:schema xmlns:xsd="http://www.w3.org/2001/XMLSchema" xmlns:xs="http://www.w3.org/2001/XMLSchema" xmlns:p="http://schemas.microsoft.com/office/2006/metadata/properties" xmlns:ns2="78d81d28-16f2-4b68-a26f-ae05642c550a" xmlns:ns3="1ecd67d1-4421-4312-a239-648a1382d5e1" targetNamespace="http://schemas.microsoft.com/office/2006/metadata/properties" ma:root="true" ma:fieldsID="7d8931aba69154248222fa69eb54d17f" ns2:_="" ns3:_="">
    <xsd:import namespace="78d81d28-16f2-4b68-a26f-ae05642c550a"/>
    <xsd:import namespace="1ecd67d1-4421-4312-a239-648a1382d5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81d28-16f2-4b68-a26f-ae05642c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7f3673b-ab65-4529-a3dc-6f4b75539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d67d1-4421-4312-a239-648a1382d5e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3480af1-b683-452b-8328-9a8682cb8735}" ma:internalName="TaxCatchAll" ma:showField="CatchAllData" ma:web="1ecd67d1-4421-4312-a239-648a1382d5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8d81d28-16f2-4b68-a26f-ae05642c550a" xsi:nil="true"/>
    <SharedWithUsers xmlns="1ecd67d1-4421-4312-a239-648a1382d5e1">
      <UserInfo>
        <DisplayName/>
        <AccountId xsi:nil="true"/>
        <AccountType/>
      </UserInfo>
    </SharedWithUsers>
    <lcf76f155ced4ddcb4097134ff3c332f xmlns="78d81d28-16f2-4b68-a26f-ae05642c550a">
      <Terms xmlns="http://schemas.microsoft.com/office/infopath/2007/PartnerControls"/>
    </lcf76f155ced4ddcb4097134ff3c332f>
    <TaxCatchAll xmlns="1ecd67d1-4421-4312-a239-648a1382d5e1" xsi:nil="true"/>
  </documentManagement>
</p:properties>
</file>

<file path=customXml/itemProps1.xml><?xml version="1.0" encoding="utf-8"?>
<ds:datastoreItem xmlns:ds="http://schemas.openxmlformats.org/officeDocument/2006/customXml" ds:itemID="{30BF8951-02DE-4F8C-A29D-2B3CAC403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d81d28-16f2-4b68-a26f-ae05642c550a"/>
    <ds:schemaRef ds:uri="1ecd67d1-4421-4312-a239-648a1382d5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91BCA5-8920-4705-B10D-DDABB3E50D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9AEBAD-901D-4725-B945-35ED9722E784}">
  <ds:schemaRefs>
    <ds:schemaRef ds:uri="http://schemas.microsoft.com/office/2006/metadata/properties"/>
    <ds:schemaRef ds:uri="http://schemas.microsoft.com/office/infopath/2007/PartnerControls"/>
    <ds:schemaRef ds:uri="78d81d28-16f2-4b68-a26f-ae05642c550a"/>
    <ds:schemaRef ds:uri="1ecd67d1-4421-4312-a239-648a1382d5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</vt:lpstr>
      <vt:lpstr>Results</vt:lpstr>
      <vt:lpstr>Calculations</vt:lpstr>
      <vt:lpstr>Model!Print_Area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Eddison</dc:creator>
  <cp:lastModifiedBy>Jill Hamilton</cp:lastModifiedBy>
  <cp:lastPrinted>2024-09-25T10:41:45Z</cp:lastPrinted>
  <dcterms:created xsi:type="dcterms:W3CDTF">2024-09-25T09:37:59Z</dcterms:created>
  <dcterms:modified xsi:type="dcterms:W3CDTF">2025-04-24T10:53:36Z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0x010100CC85347C8BDAAA4D9A24E43D5D16D7E7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